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<sst xmlns="http://schemas.openxmlformats.org/spreadsheetml/2006/main" count="376" uniqueCount="140">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</sst>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5" sqref="D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/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128</v>
      </c>
      <c r="N3" s="197" t="s">
        <v>119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127</v>
      </c>
      <c r="F4" s="200" t="s">
        <v>34</v>
      </c>
      <c r="G4" s="202" t="s">
        <v>116</v>
      </c>
      <c r="H4" s="195" t="s">
        <v>117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04" t="s">
        <v>139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01"/>
      <c r="G5" s="203"/>
      <c r="H5" s="196"/>
      <c r="I5" s="203"/>
      <c r="J5" s="196"/>
      <c r="K5" s="207" t="s">
        <v>118</v>
      </c>
      <c r="L5" s="208"/>
      <c r="M5" s="196"/>
      <c r="N5" s="205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92565.4</v>
      </c>
      <c r="G8" s="15">
        <f aca="true" t="shared" si="0" ref="G8:G21">F8-E8</f>
        <v>-30147.369999999995</v>
      </c>
      <c r="H8" s="38">
        <f>F8/E8*100</f>
        <v>75.4325731543669</v>
      </c>
      <c r="I8" s="28">
        <f>F8-D8</f>
        <v>-748484.6</v>
      </c>
      <c r="J8" s="28">
        <f>F8/D8*100</f>
        <v>11.005933059865644</v>
      </c>
      <c r="K8" s="15">
        <f>K9+K15+K18+K19+K20+K32</f>
        <v>1210.9899999999977</v>
      </c>
      <c r="L8" s="15">
        <f>F8/91354.4*100</f>
        <v>101.32560664839352</v>
      </c>
      <c r="M8" s="15">
        <f>M9+M15+M18+M19+M20+M32+M17</f>
        <v>62152</v>
      </c>
      <c r="N8" s="15">
        <f>N9+N15+N18+N19+N20+N32+N17</f>
        <v>31984.769999999997</v>
      </c>
      <c r="O8" s="15">
        <f>N8-M8</f>
        <v>-30167.230000000003</v>
      </c>
      <c r="P8" s="15">
        <f>N8/M8*100</f>
        <v>51.462173381387565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48639.82</v>
      </c>
      <c r="G9" s="36">
        <f t="shared" si="0"/>
        <v>-11950.445</v>
      </c>
      <c r="H9" s="32">
        <f>F9/E9*100</f>
        <v>80.27662529615938</v>
      </c>
      <c r="I9" s="42">
        <f>F9-D9</f>
        <v>-411060.18</v>
      </c>
      <c r="J9" s="42">
        <f>F9/D9*100</f>
        <v>10.580774418098759</v>
      </c>
      <c r="K9" s="106">
        <f>F9-49687.49</f>
        <v>-1047.6699999999983</v>
      </c>
      <c r="L9" s="106">
        <f>F9/49687.49*100</f>
        <v>97.89148133665033</v>
      </c>
      <c r="M9" s="32">
        <v>30377</v>
      </c>
      <c r="N9" s="178">
        <f>F9-січень!F9</f>
        <v>18426.55</v>
      </c>
      <c r="O9" s="40">
        <f>N9-M9</f>
        <v>-11950.45</v>
      </c>
      <c r="P9" s="42">
        <f>N9/M9*100</f>
        <v>60.65954505053165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43654.14</v>
      </c>
      <c r="G10" s="109">
        <f t="shared" si="0"/>
        <v>-10719.699999999997</v>
      </c>
      <c r="H10" s="32">
        <f aca="true" t="shared" si="1" ref="H10:H18">F10/E10*100</f>
        <v>80.28518861275937</v>
      </c>
      <c r="I10" s="110">
        <f aca="true" t="shared" si="2" ref="I10:I32">F10-D10</f>
        <v>-367785.86</v>
      </c>
      <c r="J10" s="110">
        <f aca="true" t="shared" si="3" ref="J10:J31">F10/D10*100</f>
        <v>10.610086525374294</v>
      </c>
      <c r="K10" s="112">
        <f>F10-43781.83</f>
        <v>-127.69000000000233</v>
      </c>
      <c r="L10" s="112">
        <f>F10/43781.83*100</f>
        <v>99.70834933121799</v>
      </c>
      <c r="M10" s="111">
        <v>27490</v>
      </c>
      <c r="N10" s="179">
        <f>F10-січень!F10</f>
        <v>16770.3</v>
      </c>
      <c r="O10" s="112">
        <f aca="true" t="shared" si="4" ref="O10:O32">N10-M10</f>
        <v>-10719.7</v>
      </c>
      <c r="P10" s="42">
        <f aca="true" t="shared" si="5" ref="P10:P18">N10/M10*100</f>
        <v>61.005092761004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3186.42</v>
      </c>
      <c r="G11" s="109">
        <f t="shared" si="0"/>
        <v>-748.52</v>
      </c>
      <c r="H11" s="32">
        <f t="shared" si="1"/>
        <v>80.97760067497852</v>
      </c>
      <c r="I11" s="110">
        <f t="shared" si="2"/>
        <v>-19813.58</v>
      </c>
      <c r="J11" s="110">
        <f t="shared" si="3"/>
        <v>13.854</v>
      </c>
      <c r="K11" s="112">
        <f>F11-3453.77</f>
        <v>-267.3499999999999</v>
      </c>
      <c r="L11" s="112">
        <f>F11/3453.77*100</f>
        <v>92.25918344302025</v>
      </c>
      <c r="M11" s="111">
        <v>1250</v>
      </c>
      <c r="N11" s="179">
        <f>F11-січень!F11</f>
        <v>501.48</v>
      </c>
      <c r="O11" s="112">
        <f t="shared" si="4"/>
        <v>-748.52</v>
      </c>
      <c r="P11" s="42">
        <f t="shared" si="5"/>
        <v>40.1184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635.51</v>
      </c>
      <c r="G12" s="109">
        <f t="shared" si="0"/>
        <v>9.899999999999977</v>
      </c>
      <c r="H12" s="32">
        <f t="shared" si="1"/>
        <v>101.58245552340914</v>
      </c>
      <c r="I12" s="110">
        <f t="shared" si="2"/>
        <v>-5864.49</v>
      </c>
      <c r="J12" s="110">
        <f t="shared" si="3"/>
        <v>9.777076923076923</v>
      </c>
      <c r="K12" s="112">
        <f>F12-805.51</f>
        <v>-170</v>
      </c>
      <c r="L12" s="112">
        <f>F12/805.51*100</f>
        <v>78.89535822025798</v>
      </c>
      <c r="M12" s="111">
        <v>192</v>
      </c>
      <c r="N12" s="179">
        <f>F12-січень!F12</f>
        <v>201.89999999999998</v>
      </c>
      <c r="O12" s="112">
        <f t="shared" si="4"/>
        <v>9.899999999999977</v>
      </c>
      <c r="P12" s="42">
        <f t="shared" si="5"/>
        <v>105.15625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708.77</v>
      </c>
      <c r="G13" s="109">
        <f t="shared" si="0"/>
        <v>-321.06500000000005</v>
      </c>
      <c r="H13" s="32">
        <f t="shared" si="1"/>
        <v>68.82364650647918</v>
      </c>
      <c r="I13" s="110">
        <f t="shared" si="2"/>
        <v>-11691.23</v>
      </c>
      <c r="J13" s="110">
        <f t="shared" si="3"/>
        <v>5.7158870967741935</v>
      </c>
      <c r="K13" s="112">
        <f>F13-707.92</f>
        <v>0.8500000000000227</v>
      </c>
      <c r="L13" s="112">
        <f>F13/707.92*100</f>
        <v>100.12007006441405</v>
      </c>
      <c r="M13" s="111">
        <v>820</v>
      </c>
      <c r="N13" s="179">
        <f>F13-січень!F13</f>
        <v>498.92999999999995</v>
      </c>
      <c r="O13" s="112">
        <f t="shared" si="4"/>
        <v>-321.07000000000005</v>
      </c>
      <c r="P13" s="42">
        <f t="shared" si="5"/>
        <v>60.845121951219504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12.31</v>
      </c>
      <c r="G15" s="36">
        <f t="shared" si="0"/>
        <v>12.31</v>
      </c>
      <c r="H15" s="32"/>
      <c r="I15" s="42">
        <f t="shared" si="2"/>
        <v>-487.69</v>
      </c>
      <c r="J15" s="42">
        <f t="shared" si="3"/>
        <v>2.4619999999999997</v>
      </c>
      <c r="K15" s="43">
        <f>F15-(-976.48)</f>
        <v>988.79</v>
      </c>
      <c r="L15" s="43">
        <f>F15/(-976.48)*100</f>
        <v>-1.2606504997542192</v>
      </c>
      <c r="M15" s="32">
        <v>0</v>
      </c>
      <c r="N15" s="178">
        <f>F15-січень!F15</f>
        <v>12.31</v>
      </c>
      <c r="O15" s="40">
        <f t="shared" si="4"/>
        <v>12.31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</v>
      </c>
      <c r="G17" s="36">
        <f t="shared" si="0"/>
        <v>0</v>
      </c>
      <c r="H17" s="32" t="e">
        <f t="shared" si="1"/>
        <v>#DIV/0!</v>
      </c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2">
        <f>E17-січень!E17</f>
        <v>0</v>
      </c>
      <c r="N17" s="178">
        <f>F17-січень!F17</f>
        <v>0</v>
      </c>
      <c r="O17" s="40">
        <f t="shared" si="4"/>
        <v>0</v>
      </c>
      <c r="P17" s="42" t="e">
        <f t="shared" si="5"/>
        <v>#DIV/0!</v>
      </c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5671.76</v>
      </c>
      <c r="G19" s="36">
        <f t="shared" si="0"/>
        <v>-6388.639999999999</v>
      </c>
      <c r="H19" s="32">
        <f aca="true" t="shared" si="6" ref="H19:H31">F19/E19*100</f>
        <v>47.02795927166596</v>
      </c>
      <c r="I19" s="42">
        <f t="shared" si="2"/>
        <v>-104228.24</v>
      </c>
      <c r="J19" s="42">
        <f t="shared" si="3"/>
        <v>5.160837124658781</v>
      </c>
      <c r="K19" s="133">
        <f>F19-3525.13</f>
        <v>2146.63</v>
      </c>
      <c r="L19" s="40">
        <f>F19/3525.13*100</f>
        <v>160.8950591893065</v>
      </c>
      <c r="M19" s="32">
        <v>6500</v>
      </c>
      <c r="N19" s="178">
        <f>F19-січень!F19</f>
        <v>111.36000000000058</v>
      </c>
      <c r="O19" s="40">
        <f t="shared" si="4"/>
        <v>-6388.639999999999</v>
      </c>
      <c r="P19" s="42">
        <f aca="true" t="shared" si="7" ref="P19:P25">N19/M19*100</f>
        <v>1.7132307692307784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38135.71</v>
      </c>
      <c r="G20" s="36">
        <f t="shared" si="0"/>
        <v>-11916.394999999997</v>
      </c>
      <c r="H20" s="32">
        <f t="shared" si="6"/>
        <v>76.19202029564991</v>
      </c>
      <c r="I20" s="42">
        <f t="shared" si="2"/>
        <v>-232804.29</v>
      </c>
      <c r="J20" s="42">
        <f t="shared" si="3"/>
        <v>14.075334022292758</v>
      </c>
      <c r="K20" s="132">
        <f>F20-37103.23</f>
        <v>1032.479999999996</v>
      </c>
      <c r="L20" s="110">
        <f>F20/37103.23*100</f>
        <v>102.78272269018088</v>
      </c>
      <c r="M20" s="32">
        <f>M21+M25+M26+M27</f>
        <v>25265</v>
      </c>
      <c r="N20" s="178">
        <f>F20-січень!F20</f>
        <v>13338.649999999998</v>
      </c>
      <c r="O20" s="40">
        <f t="shared" si="4"/>
        <v>-11926.350000000002</v>
      </c>
      <c r="P20" s="42">
        <f t="shared" si="7"/>
        <v>52.79497328319809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13614.99</v>
      </c>
      <c r="G21" s="36">
        <f t="shared" si="0"/>
        <v>-9881.269999999999</v>
      </c>
      <c r="H21" s="32">
        <f t="shared" si="6"/>
        <v>57.945349600319375</v>
      </c>
      <c r="I21" s="42">
        <f t="shared" si="2"/>
        <v>-147785.01</v>
      </c>
      <c r="J21" s="42">
        <f t="shared" si="3"/>
        <v>8.435557620817843</v>
      </c>
      <c r="K21" s="132">
        <f>F21-15266.79</f>
        <v>-1651.800000000001</v>
      </c>
      <c r="L21" s="110">
        <f>F21/15266.79*100</f>
        <v>89.18043675193016</v>
      </c>
      <c r="M21" s="32">
        <f>M22+M23+M24</f>
        <v>11597</v>
      </c>
      <c r="N21" s="178">
        <f>F21-січень!F21</f>
        <v>1715.6900000000005</v>
      </c>
      <c r="O21" s="40">
        <f t="shared" si="4"/>
        <v>-9881.31</v>
      </c>
      <c r="P21" s="42">
        <f t="shared" si="7"/>
        <v>14.794257135466074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3246.65</v>
      </c>
      <c r="G22" s="109">
        <f>F22-E22</f>
        <v>-44.94999999999982</v>
      </c>
      <c r="H22" s="111">
        <f t="shared" si="6"/>
        <v>98.63440272208045</v>
      </c>
      <c r="I22" s="110">
        <f t="shared" si="2"/>
        <v>-15253.35</v>
      </c>
      <c r="J22" s="110">
        <f t="shared" si="3"/>
        <v>17.54945945945946</v>
      </c>
      <c r="K22" s="110">
        <f>F22-306.01</f>
        <v>2940.6400000000003</v>
      </c>
      <c r="L22" s="110">
        <f>F22/306.01*100</f>
        <v>1060.9620600633966</v>
      </c>
      <c r="M22" s="111">
        <v>242</v>
      </c>
      <c r="N22" s="179">
        <f>F22-січень!F22</f>
        <v>197.05000000000018</v>
      </c>
      <c r="O22" s="112">
        <f t="shared" si="4"/>
        <v>-44.94999999999982</v>
      </c>
      <c r="P22" s="110">
        <f t="shared" si="7"/>
        <v>81.42561983471082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10196.21</v>
      </c>
      <c r="G24" s="109">
        <f>F24-E24</f>
        <v>-9806.61</v>
      </c>
      <c r="H24" s="111">
        <f t="shared" si="6"/>
        <v>50.97386268536136</v>
      </c>
      <c r="I24" s="110">
        <f t="shared" si="2"/>
        <v>-129903.79000000001</v>
      </c>
      <c r="J24" s="110">
        <f t="shared" si="3"/>
        <v>7.277808708065667</v>
      </c>
      <c r="K24" s="174">
        <f>F24-14954.53</f>
        <v>-4758.3200000000015</v>
      </c>
      <c r="L24" s="174">
        <f>F24/14954.53*100</f>
        <v>68.18141392608125</v>
      </c>
      <c r="M24" s="111">
        <v>11310</v>
      </c>
      <c r="N24" s="179">
        <f>F24-січень!F24</f>
        <v>1503.3799999999992</v>
      </c>
      <c r="O24" s="112">
        <f t="shared" si="4"/>
        <v>-9806.62</v>
      </c>
      <c r="P24" s="110">
        <f t="shared" si="7"/>
        <v>13.29248452696728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14.28</v>
      </c>
      <c r="G25" s="36">
        <f>F25-E25</f>
        <v>3.674999999999999</v>
      </c>
      <c r="H25" s="32">
        <f t="shared" si="6"/>
        <v>134.65346534653463</v>
      </c>
      <c r="I25" s="42">
        <f t="shared" si="2"/>
        <v>-62.72</v>
      </c>
      <c r="J25" s="42">
        <f t="shared" si="3"/>
        <v>18.545454545454547</v>
      </c>
      <c r="K25" s="132">
        <f>F25-14.22</f>
        <v>0.05999999999999872</v>
      </c>
      <c r="L25" s="132">
        <f>F25/14.22*100</f>
        <v>100.42194092827003</v>
      </c>
      <c r="M25" s="32">
        <v>8</v>
      </c>
      <c r="N25" s="178">
        <f>F25-січень!F25</f>
        <v>11.67</v>
      </c>
      <c r="O25" s="40">
        <f t="shared" si="4"/>
        <v>3.67</v>
      </c>
      <c r="P25" s="42">
        <f t="shared" si="7"/>
        <v>145.875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-32.65</v>
      </c>
      <c r="G26" s="36">
        <f aca="true" t="shared" si="8" ref="G26:G32">F26-E26</f>
        <v>-32.65</v>
      </c>
      <c r="H26" s="32"/>
      <c r="I26" s="42">
        <f t="shared" si="2"/>
        <v>-32.65</v>
      </c>
      <c r="J26" s="42"/>
      <c r="K26" s="132">
        <f>F26-87.67</f>
        <v>-120.32</v>
      </c>
      <c r="L26" s="132">
        <f>F26/87.67*100</f>
        <v>-37.24192996464012</v>
      </c>
      <c r="M26" s="32">
        <f>E26-січень!E26</f>
        <v>0</v>
      </c>
      <c r="N26" s="178">
        <f>F26-січень!F26</f>
        <v>-32.3</v>
      </c>
      <c r="O26" s="40">
        <f t="shared" si="4"/>
        <v>-32.3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24539.09</v>
      </c>
      <c r="G27" s="36">
        <f t="shared" si="8"/>
        <v>-2006.1500000000015</v>
      </c>
      <c r="H27" s="32">
        <f t="shared" si="6"/>
        <v>92.44252453547227</v>
      </c>
      <c r="I27" s="42">
        <f t="shared" si="2"/>
        <v>-84923.91</v>
      </c>
      <c r="J27" s="42">
        <f t="shared" si="3"/>
        <v>22.417702785416076</v>
      </c>
      <c r="K27" s="106">
        <f>F27-21734.55</f>
        <v>2804.540000000001</v>
      </c>
      <c r="L27" s="106">
        <f>F27/21734.55*100</f>
        <v>112.90360278910767</v>
      </c>
      <c r="M27" s="32">
        <v>13660</v>
      </c>
      <c r="N27" s="178">
        <f>F27-січень!F27</f>
        <v>11643.59</v>
      </c>
      <c r="O27" s="40">
        <f t="shared" si="4"/>
        <v>-2016.4099999999999</v>
      </c>
      <c r="P27" s="42">
        <f>N27/M27*100</f>
        <v>85.23857979502196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5839.77</v>
      </c>
      <c r="G29" s="109">
        <f t="shared" si="8"/>
        <v>183.80000000000018</v>
      </c>
      <c r="H29" s="111">
        <f t="shared" si="6"/>
        <v>103.24966362975758</v>
      </c>
      <c r="I29" s="110">
        <f t="shared" si="2"/>
        <v>-21760.23</v>
      </c>
      <c r="J29" s="110">
        <f t="shared" si="3"/>
        <v>21.15858695652174</v>
      </c>
      <c r="K29" s="142">
        <f>F29-5853.24</f>
        <v>-13.469999999999345</v>
      </c>
      <c r="L29" s="142">
        <f>F29/5853.24*100</f>
        <v>99.7698710457798</v>
      </c>
      <c r="M29" s="111">
        <v>3500</v>
      </c>
      <c r="N29" s="179">
        <f>F29-січень!F29</f>
        <v>3683.8000000000006</v>
      </c>
      <c r="O29" s="112">
        <f t="shared" si="4"/>
        <v>183.80000000000064</v>
      </c>
      <c r="P29" s="110">
        <f>N29/M29*100</f>
        <v>105.25142857142859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18691.76</v>
      </c>
      <c r="G30" s="109">
        <f t="shared" si="8"/>
        <v>-2194.3200000000033</v>
      </c>
      <c r="H30" s="111">
        <f t="shared" si="6"/>
        <v>89.49386385573548</v>
      </c>
      <c r="I30" s="110">
        <f t="shared" si="2"/>
        <v>-63120.240000000005</v>
      </c>
      <c r="J30" s="110">
        <f t="shared" si="3"/>
        <v>22.847210678140122</v>
      </c>
      <c r="K30" s="142">
        <f>F30-15877.68</f>
        <v>2814.079999999998</v>
      </c>
      <c r="L30" s="142">
        <f>F30/15877.68*100</f>
        <v>117.72349612789776</v>
      </c>
      <c r="M30" s="111">
        <v>10160</v>
      </c>
      <c r="N30" s="179">
        <f>F30-січень!F30</f>
        <v>7955.419999999998</v>
      </c>
      <c r="O30" s="112">
        <f t="shared" si="4"/>
        <v>-2204.5800000000017</v>
      </c>
      <c r="P30" s="110">
        <f>N30/M30*100</f>
        <v>78.30137795275589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4029.9300000000007</v>
      </c>
      <c r="G33" s="15">
        <f>G34+G35+G36+G37+G38+G39+G41+G42+G43+G44+G45+G50+G51+G55</f>
        <v>-905.0960000000002</v>
      </c>
      <c r="H33" s="38">
        <f>F33/E33*100</f>
        <v>81.65975214720248</v>
      </c>
      <c r="I33" s="28">
        <f>F33-D33</f>
        <v>-38790.07</v>
      </c>
      <c r="J33" s="28">
        <f>F33/D33*100</f>
        <v>9.411326482951893</v>
      </c>
      <c r="K33" s="15">
        <f>F33-4883.7</f>
        <v>-853.7699999999991</v>
      </c>
      <c r="L33" s="15">
        <f>F33/4883.7*100</f>
        <v>82.5179679341483</v>
      </c>
      <c r="M33" s="15">
        <f>M34+M35+M36+M37+M38+M39+M41+M42+M43+M44+M45+M50+M51+M55</f>
        <v>2907.3</v>
      </c>
      <c r="N33" s="15">
        <f>N34+N35+N36+N37+N38+N39+N41+N42+N43+N44+N45+N50+N51+N55</f>
        <v>1998.96</v>
      </c>
      <c r="O33" s="15">
        <f>O34+O35+O36+O37+O38+O39+O41+O42+O43+O44+O45+O50+O51+O55</f>
        <v>-908.3400000000001</v>
      </c>
      <c r="P33" s="15">
        <f>N33/M33*100</f>
        <v>68.75657826849654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4.71</v>
      </c>
      <c r="G34" s="36">
        <f>F34-E34</f>
        <v>-45.29</v>
      </c>
      <c r="H34" s="32">
        <f aca="true" t="shared" si="9" ref="H34:H56">F34/E34*100</f>
        <v>9.42</v>
      </c>
      <c r="I34" s="42">
        <f>F34-D34</f>
        <v>-95.29</v>
      </c>
      <c r="J34" s="42">
        <f>F34/D34*100</f>
        <v>4.71</v>
      </c>
      <c r="K34" s="42">
        <f>F34-(-3.86)</f>
        <v>8.57</v>
      </c>
      <c r="L34" s="42">
        <f>F34/(-3.86)*100</f>
        <v>-122.02072538860105</v>
      </c>
      <c r="M34" s="32">
        <v>45.3</v>
      </c>
      <c r="N34" s="178">
        <f>F34-січень!F34</f>
        <v>0</v>
      </c>
      <c r="O34" s="40">
        <f>N34-M34</f>
        <v>-45.3</v>
      </c>
      <c r="P34" s="42">
        <f aca="true" t="shared" si="10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-1.22</v>
      </c>
      <c r="G38" s="36">
        <f t="shared" si="11"/>
        <v>-21.22</v>
      </c>
      <c r="H38" s="32">
        <f t="shared" si="9"/>
        <v>-6.1</v>
      </c>
      <c r="I38" s="42">
        <f t="shared" si="12"/>
        <v>-151.22</v>
      </c>
      <c r="J38" s="42">
        <f t="shared" si="14"/>
        <v>-0.8133333333333332</v>
      </c>
      <c r="K38" s="42">
        <f>F38-16.83</f>
        <v>-18.049999999999997</v>
      </c>
      <c r="L38" s="42">
        <f>F38/16.83*100</f>
        <v>-7.2489601901366605</v>
      </c>
      <c r="M38" s="32">
        <v>10</v>
      </c>
      <c r="N38" s="178">
        <f>F38-січень!F38</f>
        <v>5.180000000000001</v>
      </c>
      <c r="O38" s="40">
        <f t="shared" si="13"/>
        <v>-4.819999999999999</v>
      </c>
      <c r="P38" s="42">
        <f t="shared" si="10"/>
        <v>51.800000000000004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938.87</v>
      </c>
      <c r="G41" s="36">
        <f t="shared" si="11"/>
        <v>-400.1450000000001</v>
      </c>
      <c r="H41" s="32">
        <f t="shared" si="9"/>
        <v>70.11646620836957</v>
      </c>
      <c r="I41" s="42">
        <f t="shared" si="12"/>
        <v>-8961.13</v>
      </c>
      <c r="J41" s="42">
        <f t="shared" si="14"/>
        <v>9.483535353535354</v>
      </c>
      <c r="K41" s="42">
        <f>F41-1559.47</f>
        <v>-620.6</v>
      </c>
      <c r="L41" s="42">
        <f>F41/1559.47*100</f>
        <v>60.204428427606814</v>
      </c>
      <c r="M41" s="32">
        <v>800</v>
      </c>
      <c r="N41" s="178">
        <f>F41-січень!F41</f>
        <v>399.85</v>
      </c>
      <c r="O41" s="40">
        <f t="shared" si="13"/>
        <v>-400.15</v>
      </c>
      <c r="P41" s="42">
        <f t="shared" si="10"/>
        <v>49.98125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1.14</v>
      </c>
      <c r="G42" s="36">
        <f t="shared" si="11"/>
        <v>-128.86</v>
      </c>
      <c r="H42" s="32">
        <f t="shared" si="9"/>
        <v>0.8769230769230769</v>
      </c>
      <c r="I42" s="42">
        <f t="shared" si="12"/>
        <v>-1498.86</v>
      </c>
      <c r="J42" s="42">
        <f t="shared" si="14"/>
        <v>0.076</v>
      </c>
      <c r="K42" s="42"/>
      <c r="L42" s="42"/>
      <c r="M42" s="32">
        <v>130</v>
      </c>
      <c r="N42" s="178">
        <f>F42-січень!F42</f>
        <v>0.10999999999999988</v>
      </c>
      <c r="O42" s="40">
        <f t="shared" si="13"/>
        <v>-129.89</v>
      </c>
      <c r="P42" s="42">
        <f t="shared" si="10"/>
        <v>0.08461538461538452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1303.31</v>
      </c>
      <c r="G44" s="36">
        <f t="shared" si="11"/>
        <v>-62.92000000000007</v>
      </c>
      <c r="H44" s="32">
        <f t="shared" si="9"/>
        <v>95.39462608784758</v>
      </c>
      <c r="I44" s="42">
        <f t="shared" si="12"/>
        <v>-7196.6900000000005</v>
      </c>
      <c r="J44" s="42">
        <f t="shared" si="14"/>
        <v>15.333058823529411</v>
      </c>
      <c r="K44" s="42">
        <f>F44-1319.2</f>
        <v>-15.8900000000001</v>
      </c>
      <c r="L44" s="42">
        <f>F44/1319.2*100</f>
        <v>98.79548211036992</v>
      </c>
      <c r="M44" s="32">
        <v>650</v>
      </c>
      <c r="N44" s="178">
        <f>F44-січень!F44</f>
        <v>587.0799999999999</v>
      </c>
      <c r="O44" s="40">
        <f t="shared" si="13"/>
        <v>-62.92000000000007</v>
      </c>
      <c r="P44" s="42">
        <f t="shared" si="10"/>
        <v>90.32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720.4</v>
      </c>
      <c r="G45" s="36">
        <f t="shared" si="11"/>
        <v>-175.79000000000008</v>
      </c>
      <c r="H45" s="32">
        <f t="shared" si="9"/>
        <v>80.38473984311362</v>
      </c>
      <c r="I45" s="42">
        <f t="shared" si="12"/>
        <v>-6579.6</v>
      </c>
      <c r="J45" s="42">
        <f t="shared" si="14"/>
        <v>9.868493150684932</v>
      </c>
      <c r="K45" s="132">
        <f>F45-1398.47</f>
        <v>-678.07</v>
      </c>
      <c r="L45" s="132">
        <f>F45/1398.47*100</f>
        <v>51.51343968765866</v>
      </c>
      <c r="M45" s="152">
        <v>488</v>
      </c>
      <c r="N45" s="180">
        <f>F45-січень!F45</f>
        <v>312.2</v>
      </c>
      <c r="O45" s="40">
        <f t="shared" si="13"/>
        <v>-175.8</v>
      </c>
      <c r="P45" s="132">
        <f t="shared" si="10"/>
        <v>63.975409836065566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57.72</v>
      </c>
      <c r="G46" s="36">
        <f t="shared" si="11"/>
        <v>-55.269999999999996</v>
      </c>
      <c r="H46" s="32">
        <f t="shared" si="9"/>
        <v>51.08416674041951</v>
      </c>
      <c r="I46" s="110">
        <f t="shared" si="12"/>
        <v>-1042.28</v>
      </c>
      <c r="J46" s="42">
        <f t="shared" si="14"/>
        <v>5.247272727272727</v>
      </c>
      <c r="K46" s="110">
        <f>F46-139.45</f>
        <v>-81.72999999999999</v>
      </c>
      <c r="L46" s="110">
        <f>F46/139.45*100</f>
        <v>41.39117963427752</v>
      </c>
      <c r="M46" s="111">
        <v>87</v>
      </c>
      <c r="N46" s="179">
        <f>F46-січень!F46</f>
        <v>31.73</v>
      </c>
      <c r="O46" s="112">
        <f t="shared" si="13"/>
        <v>-55.269999999999996</v>
      </c>
      <c r="P46" s="132">
        <f t="shared" si="10"/>
        <v>36.47126436781609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0.05</v>
      </c>
      <c r="G47" s="36">
        <f t="shared" si="11"/>
        <v>-0.9849999999999999</v>
      </c>
      <c r="H47" s="32">
        <f t="shared" si="9"/>
        <v>4.830917874396136</v>
      </c>
      <c r="I47" s="110">
        <f t="shared" si="12"/>
        <v>-44.95</v>
      </c>
      <c r="J47" s="42">
        <f t="shared" si="14"/>
        <v>0.1111111111111111</v>
      </c>
      <c r="K47" s="110">
        <f>F47-1.07</f>
        <v>-1.02</v>
      </c>
      <c r="L47" s="110">
        <f>F47/1.27*100</f>
        <v>3.937007874015748</v>
      </c>
      <c r="M47" s="111">
        <v>1</v>
      </c>
      <c r="N47" s="179">
        <f>F47-січень!F47</f>
        <v>0.010000000000000002</v>
      </c>
      <c r="O47" s="112">
        <f t="shared" si="13"/>
        <v>-0.99</v>
      </c>
      <c r="P47" s="132">
        <f t="shared" si="10"/>
        <v>1.0000000000000002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662.63</v>
      </c>
      <c r="G49" s="36">
        <f t="shared" si="11"/>
        <v>-119.53999999999996</v>
      </c>
      <c r="H49" s="32">
        <f t="shared" si="9"/>
        <v>84.71687740516768</v>
      </c>
      <c r="I49" s="110">
        <f t="shared" si="12"/>
        <v>-5491.37</v>
      </c>
      <c r="J49" s="42">
        <f t="shared" si="14"/>
        <v>10.767468313292168</v>
      </c>
      <c r="K49" s="110">
        <f>F49-1257.34</f>
        <v>-594.7099999999999</v>
      </c>
      <c r="L49" s="110">
        <f>F49/1257.34*100</f>
        <v>52.70094007985112</v>
      </c>
      <c r="M49" s="111">
        <v>400</v>
      </c>
      <c r="N49" s="179">
        <f>F49-січень!F49</f>
        <v>280.46</v>
      </c>
      <c r="O49" s="112">
        <f t="shared" si="13"/>
        <v>-119.54000000000002</v>
      </c>
      <c r="P49" s="132">
        <f t="shared" si="10"/>
        <v>70.115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573.78</v>
      </c>
      <c r="G51" s="36">
        <f t="shared" si="11"/>
        <v>-64.20000000000005</v>
      </c>
      <c r="H51" s="32">
        <f t="shared" si="9"/>
        <v>89.93698862033291</v>
      </c>
      <c r="I51" s="42">
        <f t="shared" si="12"/>
        <v>-4226.22</v>
      </c>
      <c r="J51" s="42">
        <f t="shared" si="14"/>
        <v>11.95375</v>
      </c>
      <c r="K51" s="42">
        <f>F51-590.24</f>
        <v>-16.460000000000036</v>
      </c>
      <c r="L51" s="42">
        <f>F51/590.24*100</f>
        <v>97.21130387638925</v>
      </c>
      <c r="M51" s="32">
        <v>320</v>
      </c>
      <c r="N51" s="178">
        <f>F51-січень!F51</f>
        <v>255.79999999999995</v>
      </c>
      <c r="O51" s="40">
        <f t="shared" si="13"/>
        <v>-64.20000000000005</v>
      </c>
      <c r="P51" s="42">
        <f t="shared" si="10"/>
        <v>79.93749999999999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128.7</v>
      </c>
      <c r="G53" s="36"/>
      <c r="H53" s="32"/>
      <c r="I53" s="42"/>
      <c r="J53" s="42"/>
      <c r="K53" s="112">
        <f>F53-142.7</f>
        <v>-14</v>
      </c>
      <c r="L53" s="112">
        <f>F53/142.7*100</f>
        <v>90.18920812894183</v>
      </c>
      <c r="M53" s="111"/>
      <c r="N53" s="179">
        <f>F53-січень!F53</f>
        <v>58.499999999999986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96596.33</v>
      </c>
      <c r="G58" s="37">
        <f>F58-E58</f>
        <v>-31054.465999999986</v>
      </c>
      <c r="H58" s="38">
        <f>F58/E58*100</f>
        <v>75.67232874912901</v>
      </c>
      <c r="I58" s="28">
        <f>F58-D58</f>
        <v>-787304.27</v>
      </c>
      <c r="J58" s="28">
        <f>F58/D58*100</f>
        <v>10.928415480202187</v>
      </c>
      <c r="K58" s="28">
        <f>F58-96241.42</f>
        <v>354.9100000000035</v>
      </c>
      <c r="L58" s="28">
        <f>F58/96241.42*100</f>
        <v>100.36877053559682</v>
      </c>
      <c r="M58" s="15">
        <f>M8+M33+M56+M57</f>
        <v>65061.3</v>
      </c>
      <c r="N58" s="15">
        <f>N8+N33+N56+N57</f>
        <v>33983.729999999996</v>
      </c>
      <c r="O58" s="41">
        <f>N58-M58</f>
        <v>-31077.570000000007</v>
      </c>
      <c r="P58" s="28">
        <f>N58/M58*100</f>
        <v>52.23340142296572</v>
      </c>
      <c r="Q58" s="28">
        <f>N58-34768</f>
        <v>-784.2700000000041</v>
      </c>
      <c r="R58" s="128">
        <f>N58/34768</f>
        <v>0.9774427634606534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8.75</v>
      </c>
      <c r="G63" s="36"/>
      <c r="H63" s="32"/>
      <c r="I63" s="43"/>
      <c r="J63" s="43"/>
      <c r="K63" s="43">
        <f>F63-0</f>
        <v>8.75</v>
      </c>
      <c r="L63" s="43"/>
      <c r="M63" s="33"/>
      <c r="N63" s="181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F65-(-14.65)</f>
        <v>23.130000000000003</v>
      </c>
      <c r="L65" s="44">
        <f>F65/(-14.65)*100</f>
        <v>-57.8839590443686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0.07</v>
      </c>
      <c r="G67" s="36">
        <f aca="true" t="shared" si="15" ref="G67:G77">F67-E67</f>
        <v>0.07</v>
      </c>
      <c r="H67" s="32"/>
      <c r="I67" s="43">
        <f aca="true" t="shared" si="16" ref="I67:I77">F67-D67</f>
        <v>-4199.93</v>
      </c>
      <c r="J67" s="43">
        <f>F67/D67*100</f>
        <v>0.0016666666666666668</v>
      </c>
      <c r="K67" s="43">
        <f>F67-0.08</f>
        <v>-0.009999999999999995</v>
      </c>
      <c r="L67" s="43">
        <f>F67/0.08*100</f>
        <v>87.50000000000001</v>
      </c>
      <c r="M67" s="32">
        <v>0</v>
      </c>
      <c r="N67" s="178">
        <f>F67-січень!F67</f>
        <v>0.010000000000000009</v>
      </c>
      <c r="O67" s="40">
        <f aca="true" t="shared" si="17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34.56</v>
      </c>
      <c r="G68" s="36">
        <f t="shared" si="15"/>
        <v>-1097.8400000000001</v>
      </c>
      <c r="H68" s="32">
        <f>F68/E68*100</f>
        <v>3.0519251148004236</v>
      </c>
      <c r="I68" s="43">
        <f t="shared" si="16"/>
        <v>-7424.44</v>
      </c>
      <c r="J68" s="43">
        <f>F68/D68*100</f>
        <v>0.4633328864459043</v>
      </c>
      <c r="K68" s="43">
        <f>F68-414.12</f>
        <v>-379.56</v>
      </c>
      <c r="L68" s="43">
        <f>F68/414.12*100</f>
        <v>8.34540712836859</v>
      </c>
      <c r="M68" s="32">
        <v>1109.5</v>
      </c>
      <c r="N68" s="178">
        <f>F68-січень!F68</f>
        <v>11.650000000000002</v>
      </c>
      <c r="O68" s="40">
        <f t="shared" si="17"/>
        <v>-1097.85</v>
      </c>
      <c r="P68" s="43">
        <f>N68/M68*100</f>
        <v>1.050022532672375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485.71</v>
      </c>
      <c r="G69" s="36">
        <f t="shared" si="15"/>
        <v>-99.14000000000004</v>
      </c>
      <c r="H69" s="32">
        <f>F69/E69*100</f>
        <v>83.04864495169701</v>
      </c>
      <c r="I69" s="43">
        <f t="shared" si="16"/>
        <v>-5514.29</v>
      </c>
      <c r="J69" s="43">
        <f>F69/D69*100</f>
        <v>8.095166666666666</v>
      </c>
      <c r="K69" s="43">
        <f>F69-(-1.6)</f>
        <v>487.31</v>
      </c>
      <c r="L69" s="43">
        <f>F69/(-1.6)*100</f>
        <v>-30356.874999999996</v>
      </c>
      <c r="M69" s="32">
        <v>302</v>
      </c>
      <c r="N69" s="178">
        <f>F69-січень!F69</f>
        <v>202.85999999999996</v>
      </c>
      <c r="O69" s="40">
        <f t="shared" si="17"/>
        <v>-99.14000000000004</v>
      </c>
      <c r="P69" s="43">
        <f>N69/M69*100</f>
        <v>67.17218543046356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522.34</v>
      </c>
      <c r="G71" s="45">
        <f t="shared" si="15"/>
        <v>-1196.9099999999999</v>
      </c>
      <c r="H71" s="52">
        <f>F71/E71*100</f>
        <v>30.381852551984878</v>
      </c>
      <c r="I71" s="44">
        <f t="shared" si="16"/>
        <v>-17148.66</v>
      </c>
      <c r="J71" s="44">
        <f>F71/D71*100</f>
        <v>2.9559164733178656</v>
      </c>
      <c r="K71" s="44">
        <f>F71-412.6</f>
        <v>109.74000000000001</v>
      </c>
      <c r="L71" s="44">
        <f>F71/412.6*100</f>
        <v>126.59718856034901</v>
      </c>
      <c r="M71" s="45">
        <f>M67+M68+M69+M70</f>
        <v>1412.5</v>
      </c>
      <c r="N71" s="183">
        <f>N67+N68+N69+N70</f>
        <v>215.51999999999995</v>
      </c>
      <c r="O71" s="44">
        <f t="shared" si="17"/>
        <v>-1196.98</v>
      </c>
      <c r="P71" s="44">
        <f>N71/M71*100</f>
        <v>15.258053097345128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</v>
      </c>
      <c r="G72" s="36">
        <f t="shared" si="15"/>
        <v>0</v>
      </c>
      <c r="H72" s="32"/>
      <c r="I72" s="43">
        <f t="shared" si="16"/>
        <v>-1</v>
      </c>
      <c r="J72" s="43"/>
      <c r="K72" s="43">
        <f>F72-0</f>
        <v>0</v>
      </c>
      <c r="L72" s="43"/>
      <c r="M72" s="32"/>
      <c r="N72" s="178">
        <f>F72-січень!F72</f>
        <v>0</v>
      </c>
      <c r="O72" s="40">
        <f t="shared" si="17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24.86</v>
      </c>
      <c r="G74" s="36">
        <f t="shared" si="15"/>
        <v>-1980.0400000000002</v>
      </c>
      <c r="H74" s="32">
        <f>F74/E74*100</f>
        <v>1.2399620928724624</v>
      </c>
      <c r="I74" s="43">
        <f t="shared" si="16"/>
        <v>-9475.14</v>
      </c>
      <c r="J74" s="40">
        <f>F74/D74*100</f>
        <v>0.2616842105263158</v>
      </c>
      <c r="K74" s="40">
        <f>F74-0</f>
        <v>24.86</v>
      </c>
      <c r="L74" s="43"/>
      <c r="M74" s="32">
        <v>2004.9</v>
      </c>
      <c r="N74" s="178">
        <v>0</v>
      </c>
      <c r="O74" s="40">
        <f>N74-M74</f>
        <v>-2004.9</v>
      </c>
      <c r="P74" s="46">
        <f>N74/M74*100</f>
        <v>0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0.12</v>
      </c>
      <c r="G75" s="36">
        <f t="shared" si="15"/>
        <v>0.12</v>
      </c>
      <c r="H75" s="32"/>
      <c r="I75" s="43">
        <f t="shared" si="16"/>
        <v>0.12</v>
      </c>
      <c r="J75" s="43"/>
      <c r="K75" s="43">
        <f>F75-0.49</f>
        <v>-0.37</v>
      </c>
      <c r="L75" s="43">
        <f>F75/0.49*100</f>
        <v>24.489795918367346</v>
      </c>
      <c r="M75" s="32"/>
      <c r="N75" s="178">
        <f>F75-січень!F74</f>
        <v>0</v>
      </c>
      <c r="O75" s="40">
        <f t="shared" si="17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24.98</v>
      </c>
      <c r="G76" s="30">
        <f>G72+G75+G73+G74</f>
        <v>-1979.9200000000003</v>
      </c>
      <c r="H76" s="52">
        <f>F76/E76*100</f>
        <v>1.2459474287994412</v>
      </c>
      <c r="I76" s="44">
        <f t="shared" si="16"/>
        <v>-9476.02</v>
      </c>
      <c r="J76" s="44">
        <f>F76/D76*100</f>
        <v>0.2629196926639301</v>
      </c>
      <c r="K76" s="44">
        <f>F76-0.49</f>
        <v>24.490000000000002</v>
      </c>
      <c r="L76" s="44">
        <f>F76/0.49*100</f>
        <v>5097.95918367347</v>
      </c>
      <c r="M76" s="45">
        <f>M72+M75+M73+M74</f>
        <v>2004.9</v>
      </c>
      <c r="N76" s="183">
        <f>N72+N75+N73+N74</f>
        <v>0</v>
      </c>
      <c r="O76" s="45">
        <f>O72+O75+O73+O74</f>
        <v>-2004.9</v>
      </c>
      <c r="P76" s="44">
        <f>N76/M76*100</f>
        <v>0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556.1500000000001</v>
      </c>
      <c r="G79" s="37">
        <f>F79-E79</f>
        <v>-3168.72</v>
      </c>
      <c r="H79" s="38">
        <f>F79/E79*100</f>
        <v>14.930722414473527</v>
      </c>
      <c r="I79" s="28">
        <f>F79-D79</f>
        <v>-26658.85</v>
      </c>
      <c r="J79" s="28">
        <f>F79/D79*100</f>
        <v>2.0435421642476577</v>
      </c>
      <c r="K79" s="28">
        <f>K65+K71+K76+K77</f>
        <v>156.75</v>
      </c>
      <c r="L79" s="28">
        <f>F79/399.4*100</f>
        <v>139.24636955433152</v>
      </c>
      <c r="M79" s="24">
        <f>M65+M77+M71+M76</f>
        <v>3417.775</v>
      </c>
      <c r="N79" s="24">
        <f>N65+N77+N71+N76+N78</f>
        <v>215.51999999999995</v>
      </c>
      <c r="O79" s="28">
        <f t="shared" si="17"/>
        <v>-3202.255</v>
      </c>
      <c r="P79" s="28">
        <f>N79/M79*100</f>
        <v>6.305856880572885</v>
      </c>
      <c r="Q79" s="28">
        <f>N79-8104.96</f>
        <v>-7889.4400000000005</v>
      </c>
      <c r="R79" s="101">
        <f>N79/8104.96</f>
        <v>0.02659112444725205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97152.48</v>
      </c>
      <c r="G80" s="37">
        <f>F80-E80</f>
        <v>-34223.186</v>
      </c>
      <c r="H80" s="38">
        <f>F80/E80*100</f>
        <v>73.95013320046651</v>
      </c>
      <c r="I80" s="28">
        <f>F80-D80</f>
        <v>-813963.12</v>
      </c>
      <c r="J80" s="28">
        <f>F80/D80*100</f>
        <v>10.663024538269347</v>
      </c>
      <c r="K80" s="28">
        <f>K58+K79</f>
        <v>511.6600000000035</v>
      </c>
      <c r="L80" s="28">
        <f>F80/96640.82*100</f>
        <v>100.52944501091774</v>
      </c>
      <c r="M80" s="15">
        <f>M58+M79</f>
        <v>68479.075</v>
      </c>
      <c r="N80" s="15">
        <f>N58+N79</f>
        <v>34199.24999999999</v>
      </c>
      <c r="O80" s="28">
        <f t="shared" si="17"/>
        <v>-34279.825000000004</v>
      </c>
      <c r="P80" s="28">
        <f>N80/M80*100</f>
        <v>49.94116815976266</v>
      </c>
      <c r="Q80" s="28">
        <f>N80-42872.96</f>
        <v>-8673.710000000006</v>
      </c>
      <c r="R80" s="101">
        <f>N80/42872.96</f>
        <v>0.7976880999119257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10</v>
      </c>
      <c r="D82" s="4" t="s">
        <v>36</v>
      </c>
    </row>
    <row r="83" spans="2:17" ht="30.75">
      <c r="B83" s="57" t="s">
        <v>54</v>
      </c>
      <c r="C83" s="31">
        <f>IF(O58&lt;0,ABS(O58/C82),0)</f>
        <v>3107.7570000000005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42415</v>
      </c>
      <c r="D84" s="31">
        <v>4763.4</v>
      </c>
      <c r="G84" s="4" t="s">
        <v>59</v>
      </c>
      <c r="N84" s="210"/>
      <c r="O84" s="210"/>
    </row>
    <row r="85" spans="3:15" ht="15">
      <c r="C85" s="87">
        <v>42412</v>
      </c>
      <c r="D85" s="31">
        <v>3037.5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42411</v>
      </c>
      <c r="D86" s="31">
        <v>2465.9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516.4373400000001</v>
      </c>
      <c r="E88" s="74"/>
      <c r="F88" s="140" t="s">
        <v>137</v>
      </c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1">
      <selection activeCell="M2" sqref="M1:R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135</v>
      </c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132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129</v>
      </c>
      <c r="F4" s="220" t="s">
        <v>34</v>
      </c>
      <c r="G4" s="202" t="s">
        <v>130</v>
      </c>
      <c r="H4" s="195" t="s">
        <v>131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22" t="s">
        <v>133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21"/>
      <c r="G5" s="203"/>
      <c r="H5" s="196"/>
      <c r="I5" s="203"/>
      <c r="J5" s="196"/>
      <c r="K5" s="207" t="s">
        <v>134</v>
      </c>
      <c r="L5" s="208"/>
      <c r="M5" s="196"/>
      <c r="N5" s="223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0"/>
      <c r="O84" s="210"/>
    </row>
    <row r="85" spans="3:15" ht="15">
      <c r="C85" s="87">
        <v>42397</v>
      </c>
      <c r="D85" s="31">
        <v>8685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42396</v>
      </c>
      <c r="D86" s="31">
        <v>4820.3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300.92</v>
      </c>
      <c r="E88" s="74"/>
      <c r="F88" s="140"/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7" sqref="K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136</v>
      </c>
      <c r="C3" s="189" t="s">
        <v>0</v>
      </c>
      <c r="D3" s="190" t="s">
        <v>115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107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104</v>
      </c>
      <c r="F4" s="224" t="s">
        <v>34</v>
      </c>
      <c r="G4" s="202" t="s">
        <v>109</v>
      </c>
      <c r="H4" s="195" t="s">
        <v>110</v>
      </c>
      <c r="I4" s="202" t="s">
        <v>105</v>
      </c>
      <c r="J4" s="195" t="s">
        <v>106</v>
      </c>
      <c r="K4" s="91" t="s">
        <v>65</v>
      </c>
      <c r="L4" s="96" t="s">
        <v>64</v>
      </c>
      <c r="M4" s="195"/>
      <c r="N4" s="222" t="s">
        <v>103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76.5" customHeight="1">
      <c r="A5" s="187"/>
      <c r="B5" s="188"/>
      <c r="C5" s="189"/>
      <c r="D5" s="190"/>
      <c r="E5" s="199"/>
      <c r="F5" s="225"/>
      <c r="G5" s="203"/>
      <c r="H5" s="196"/>
      <c r="I5" s="203"/>
      <c r="J5" s="196"/>
      <c r="K5" s="207" t="s">
        <v>108</v>
      </c>
      <c r="L5" s="208"/>
      <c r="M5" s="196"/>
      <c r="N5" s="223"/>
      <c r="O5" s="203"/>
      <c r="P5" s="206"/>
      <c r="Q5" s="207" t="s">
        <v>126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9"/>
      <c r="H82" s="209"/>
      <c r="I82" s="209"/>
      <c r="J82" s="20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0"/>
      <c r="O83" s="210"/>
    </row>
    <row r="84" spans="3:15" ht="15">
      <c r="C84" s="87">
        <v>42397</v>
      </c>
      <c r="D84" s="31">
        <v>8685</v>
      </c>
      <c r="F84" s="166" t="s">
        <v>59</v>
      </c>
      <c r="G84" s="211"/>
      <c r="H84" s="211"/>
      <c r="I84" s="131"/>
      <c r="J84" s="212"/>
      <c r="K84" s="212"/>
      <c r="L84" s="212"/>
      <c r="M84" s="212"/>
      <c r="N84" s="210"/>
      <c r="O84" s="210"/>
    </row>
    <row r="85" spans="3:15" ht="15.75" customHeight="1">
      <c r="C85" s="87">
        <v>42396</v>
      </c>
      <c r="D85" s="31">
        <v>4820.3</v>
      </c>
      <c r="F85" s="167"/>
      <c r="G85" s="211"/>
      <c r="H85" s="211"/>
      <c r="I85" s="131"/>
      <c r="J85" s="213"/>
      <c r="K85" s="213"/>
      <c r="L85" s="213"/>
      <c r="M85" s="213"/>
      <c r="N85" s="210"/>
      <c r="O85" s="210"/>
    </row>
    <row r="86" spans="3:13" ht="15.75" customHeight="1">
      <c r="C86" s="87"/>
      <c r="F86" s="167"/>
      <c r="G86" s="217"/>
      <c r="H86" s="217"/>
      <c r="I86" s="139"/>
      <c r="J86" s="212"/>
      <c r="K86" s="212"/>
      <c r="L86" s="212"/>
      <c r="M86" s="212"/>
    </row>
    <row r="87" spans="2:13" ht="18.75" customHeight="1">
      <c r="B87" s="218" t="s">
        <v>57</v>
      </c>
      <c r="C87" s="219"/>
      <c r="D87" s="148">
        <v>300.92</v>
      </c>
      <c r="E87" s="74"/>
      <c r="F87" s="168"/>
      <c r="G87" s="211"/>
      <c r="H87" s="211"/>
      <c r="I87" s="141"/>
      <c r="J87" s="212"/>
      <c r="K87" s="212"/>
      <c r="L87" s="212"/>
      <c r="M87" s="212"/>
    </row>
    <row r="88" spans="6:12" ht="9.75" customHeight="1">
      <c r="F88" s="167"/>
      <c r="G88" s="211"/>
      <c r="H88" s="211"/>
      <c r="I88" s="73"/>
      <c r="J88" s="74"/>
      <c r="K88" s="74"/>
      <c r="L88" s="74"/>
    </row>
    <row r="89" spans="2:12" ht="22.5" customHeight="1" hidden="1">
      <c r="B89" s="214" t="s">
        <v>60</v>
      </c>
      <c r="C89" s="215"/>
      <c r="D89" s="86">
        <v>0</v>
      </c>
      <c r="E89" s="56" t="s">
        <v>24</v>
      </c>
      <c r="F89" s="167"/>
      <c r="G89" s="211"/>
      <c r="H89" s="21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1"/>
      <c r="O90" s="211"/>
    </row>
    <row r="91" spans="4:15" ht="15">
      <c r="D91" s="83"/>
      <c r="I91" s="31"/>
      <c r="N91" s="216"/>
      <c r="O91" s="216"/>
    </row>
    <row r="92" spans="14:15" ht="15">
      <c r="N92" s="211"/>
      <c r="O92" s="211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2016-02-16T13:56:13Z</cp:lastPrinted>
  <dcterms:created xsi:type="dcterms:W3CDTF">2003-07-28T11:27:56Z</dcterms:created>
  <dcterms:modified xsi:type="dcterms:W3CDTF">2016-02-16T14:06:43Z</dcterms:modified>
  <cp:category/>
  <cp:version/>
  <cp:contentType/>
  <cp:contentStatus/>
</cp:coreProperties>
</file>